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98" i="1"/>
  <c r="C97"/>
  <c r="E88"/>
  <c r="D73"/>
  <c r="F66"/>
  <c r="D66"/>
  <c r="D68" s="1"/>
  <c r="D70" s="1"/>
  <c r="C62"/>
  <c r="C61"/>
  <c r="D50"/>
  <c r="D56" s="1"/>
  <c r="C50"/>
  <c r="C56" s="1"/>
  <c r="C42"/>
  <c r="C36"/>
  <c r="C32"/>
  <c r="C26"/>
  <c r="C29" s="1"/>
  <c r="E36" s="1"/>
  <c r="D25"/>
  <c r="D26" s="1"/>
  <c r="D29" s="1"/>
  <c r="C25"/>
  <c r="C40" s="1"/>
  <c r="E42" s="1"/>
  <c r="C19"/>
  <c r="C14"/>
  <c r="F6"/>
  <c r="E82" s="1"/>
  <c r="E84" s="1"/>
  <c r="D51" l="1"/>
  <c r="E77"/>
  <c r="E79" s="1"/>
  <c r="E87" s="1"/>
  <c r="C51"/>
  <c r="C57" l="1"/>
  <c r="D57"/>
  <c r="F73" s="1"/>
  <c r="F70" l="1"/>
  <c r="E91"/>
  <c r="C92" l="1"/>
  <c r="C94" l="1"/>
  <c r="C95" s="1"/>
  <c r="C93"/>
</calcChain>
</file>

<file path=xl/sharedStrings.xml><?xml version="1.0" encoding="utf-8"?>
<sst xmlns="http://schemas.openxmlformats.org/spreadsheetml/2006/main" count="106" uniqueCount="97">
  <si>
    <t>条件</t>
    <phoneticPr fontId="1" type="noConversion"/>
  </si>
  <si>
    <t>组合板净跨（m）</t>
    <phoneticPr fontId="1" type="noConversion"/>
  </si>
  <si>
    <t>混凝土重度（kN/m3）</t>
    <phoneticPr fontId="1" type="noConversion"/>
  </si>
  <si>
    <t>混凝土平均厚度h0（m）</t>
    <phoneticPr fontId="1" type="noConversion"/>
  </si>
  <si>
    <t>恒载（kN/m2）</t>
    <phoneticPr fontId="1" type="noConversion"/>
  </si>
  <si>
    <t>恒载分项系数(可变控)</t>
    <phoneticPr fontId="1" type="noConversion"/>
  </si>
  <si>
    <t>C30抗压强度设计值fcd（MPa）</t>
    <phoneticPr fontId="1" type="noConversion"/>
  </si>
  <si>
    <t>活载（kN/m2）</t>
    <phoneticPr fontId="1" type="noConversion"/>
  </si>
  <si>
    <t>折减系数</t>
    <phoneticPr fontId="1" type="noConversion"/>
  </si>
  <si>
    <t>压型钢板顶面以上混凝土计算厚度hc（mm）</t>
    <phoneticPr fontId="1" type="noConversion"/>
  </si>
  <si>
    <t>施工活载（kN/m2）</t>
    <phoneticPr fontId="1" type="noConversion"/>
  </si>
  <si>
    <t>活载分项系数</t>
    <phoneticPr fontId="1" type="noConversion"/>
  </si>
  <si>
    <t>C30弹性模量Ec（MPa）</t>
    <phoneticPr fontId="1" type="noConversion"/>
  </si>
  <si>
    <t>αE=Es/Ec</t>
    <phoneticPr fontId="1" type="noConversion"/>
  </si>
  <si>
    <t>型钢强度设计值（MPa）</t>
    <phoneticPr fontId="1" type="noConversion"/>
  </si>
  <si>
    <t>抗拉压弯fp（MPa）</t>
    <phoneticPr fontId="1" type="noConversion"/>
  </si>
  <si>
    <t>抗剪fv（MPa）</t>
    <phoneticPr fontId="1" type="noConversion"/>
  </si>
  <si>
    <t>弹性模量Es（MPa）</t>
    <phoneticPr fontId="1" type="noConversion"/>
  </si>
  <si>
    <t>钢板型号与规格</t>
    <phoneticPr fontId="1" type="noConversion"/>
  </si>
  <si>
    <t>YX-70-200-600</t>
    <phoneticPr fontId="1" type="noConversion"/>
  </si>
  <si>
    <t>板厚（mm）</t>
    <phoneticPr fontId="1" type="noConversion"/>
  </si>
  <si>
    <t>重量（kg/m）</t>
    <phoneticPr fontId="1" type="noConversion"/>
  </si>
  <si>
    <t>重量（kN/m2）</t>
    <phoneticPr fontId="1" type="noConversion"/>
  </si>
  <si>
    <t>有效宽度惯性矩I（cm4/m）</t>
    <phoneticPr fontId="1" type="noConversion"/>
  </si>
  <si>
    <t>有效宽度截面系数W（cm3/m）</t>
    <phoneticPr fontId="1" type="noConversion"/>
  </si>
  <si>
    <t>波距宽度b（mm）</t>
    <phoneticPr fontId="1" type="noConversion"/>
  </si>
  <si>
    <t>单波距压型钢板截面面积Ap（mm2）</t>
    <phoneticPr fontId="1" type="noConversion"/>
  </si>
  <si>
    <t>单波距有效宽度惯性矩I（cm4/m）</t>
    <phoneticPr fontId="1" type="noConversion"/>
  </si>
  <si>
    <t>（一）施工阶段压型钢板验算</t>
    <phoneticPr fontId="1" type="noConversion"/>
  </si>
  <si>
    <t>1.荷载</t>
    <phoneticPr fontId="1" type="noConversion"/>
  </si>
  <si>
    <t>施工活荷载（kN/m2）</t>
    <phoneticPr fontId="1" type="noConversion"/>
  </si>
  <si>
    <t>混凝土自重恒（kN/m2）</t>
    <phoneticPr fontId="1" type="noConversion"/>
  </si>
  <si>
    <t>标准值</t>
    <phoneticPr fontId="1" type="noConversion"/>
  </si>
  <si>
    <t>设计值</t>
    <phoneticPr fontId="1" type="noConversion"/>
  </si>
  <si>
    <t>2.压型钢板内力</t>
    <phoneticPr fontId="1" type="noConversion"/>
  </si>
  <si>
    <t>在施工荷载作用下，1m宽压型钢板的最大弯矩和剪力分别为：</t>
    <phoneticPr fontId="1" type="noConversion"/>
  </si>
  <si>
    <t>M（kN.m/m）</t>
    <phoneticPr fontId="1" type="noConversion"/>
  </si>
  <si>
    <t>V(kN/m)</t>
    <phoneticPr fontId="1" type="noConversion"/>
  </si>
  <si>
    <t>3.压型钢板受压翼缘有效计算宽度bef</t>
    <phoneticPr fontId="1" type="noConversion"/>
  </si>
  <si>
    <t>由经验取50倍板厚(m)</t>
    <phoneticPr fontId="1" type="noConversion"/>
  </si>
  <si>
    <t>4.压型钢板受弯承载力验算</t>
    <phoneticPr fontId="1" type="noConversion"/>
  </si>
  <si>
    <t>1m宽压型钢板的容许受弯承载力设计值为（kN.m/m）：</t>
    <phoneticPr fontId="1" type="noConversion"/>
  </si>
  <si>
    <t>[M]=Ws*fs=</t>
    <phoneticPr fontId="1" type="noConversion"/>
  </si>
  <si>
    <t>大于</t>
    <phoneticPr fontId="1" type="noConversion"/>
  </si>
  <si>
    <t>5.压型钢板跨中挠度验算：</t>
    <phoneticPr fontId="1" type="noConversion"/>
  </si>
  <si>
    <t>施工阶段压型钢板的最大挠度为(mm)：</t>
    <phoneticPr fontId="1" type="noConversion"/>
  </si>
  <si>
    <t>δ=（5/384）*（ps*L^4/Es/Is）=</t>
    <phoneticPr fontId="1" type="noConversion"/>
  </si>
  <si>
    <t>压型钢板的容许挠度为（mm）：</t>
    <phoneticPr fontId="1" type="noConversion"/>
  </si>
  <si>
    <t>[δ]=L/180=</t>
    <phoneticPr fontId="1" type="noConversion"/>
  </si>
  <si>
    <t>6.结论</t>
    <phoneticPr fontId="1" type="noConversion"/>
  </si>
  <si>
    <t>从以上结果可以看出,[M]&gt;M，[δ]&gt;δ，说明施工阶段压型钢板的强度和刚度均符合要求.</t>
    <phoneticPr fontId="1" type="noConversion"/>
  </si>
  <si>
    <t>（二）使用阶段组合板验算</t>
    <phoneticPr fontId="1" type="noConversion"/>
  </si>
  <si>
    <t>楼面活荷载（kN/m2）</t>
    <phoneticPr fontId="1" type="noConversion"/>
  </si>
  <si>
    <t>2.组合板内力</t>
    <phoneticPr fontId="1" type="noConversion"/>
  </si>
  <si>
    <t>压型钢板一个波距的宽度b=200mm。在使用阶段最大荷载作用下，一个波宽组合板的内力分别为：</t>
    <phoneticPr fontId="1" type="noConversion"/>
  </si>
  <si>
    <t>弯矩（kN.m）</t>
    <phoneticPr fontId="1" type="noConversion"/>
  </si>
  <si>
    <t>剪力（kN）</t>
    <phoneticPr fontId="1" type="noConversion"/>
  </si>
  <si>
    <t>3.组合板受弯承载力验算：</t>
    <phoneticPr fontId="1" type="noConversion"/>
  </si>
  <si>
    <t>由于充当受拉钢筋的压型钢板没有砼保护层以及中和轴附近材料强度发挥不充分等原因，fp与fcd应乘折减系数0.8</t>
    <phoneticPr fontId="1" type="noConversion"/>
  </si>
  <si>
    <t>（1）塑性中和轴位置</t>
    <phoneticPr fontId="1" type="noConversion"/>
  </si>
  <si>
    <t>(单位kN)Apfp =</t>
    <phoneticPr fontId="1" type="noConversion"/>
  </si>
  <si>
    <t>(单位kN)bhcfcd =</t>
    <phoneticPr fontId="1" type="noConversion"/>
  </si>
  <si>
    <t>由此可知组合板受弯时塑性中和轴位于压型钢板上翼缘以上的混凝土层内。</t>
    <phoneticPr fontId="1" type="noConversion"/>
  </si>
  <si>
    <t>（2）受弯承载力</t>
    <phoneticPr fontId="1" type="noConversion"/>
  </si>
  <si>
    <t>混凝土受压区高度xcc(mm)：</t>
    <phoneticPr fontId="1" type="noConversion"/>
  </si>
  <si>
    <t>xcc=Ap*fp/b/fcd=</t>
    <phoneticPr fontId="1" type="noConversion"/>
  </si>
  <si>
    <t>小于0.55*h0</t>
    <phoneticPr fontId="1" type="noConversion"/>
  </si>
  <si>
    <t>压型钢板截面应力合力点至混凝土受压区截面应力合力点距离yp（mm）：</t>
    <phoneticPr fontId="1" type="noConversion"/>
  </si>
  <si>
    <t>yp=h0-0.5*xcc=</t>
    <phoneticPr fontId="1" type="noConversion"/>
  </si>
  <si>
    <t>一个波宽组合板正截面的受弯承载力容许值为（kN.m）：</t>
    <phoneticPr fontId="1" type="noConversion"/>
  </si>
  <si>
    <t>[M]=0.8*b*xcc*yp*fcd=</t>
    <phoneticPr fontId="1" type="noConversion"/>
  </si>
  <si>
    <t>4.组合板受剪承载力验算：</t>
    <phoneticPr fontId="1" type="noConversion"/>
  </si>
  <si>
    <t>一个波宽组合板斜截面的受剪承载力容许值为（kN）：</t>
    <phoneticPr fontId="1" type="noConversion"/>
  </si>
  <si>
    <t>[V]=0.07*b*h0*fcd=</t>
    <phoneticPr fontId="1" type="noConversion"/>
  </si>
  <si>
    <t>从以上结果可以看出,[M]&gt;M，[V]&gt;V，说明组合板在使用期间承载力足够。</t>
    <phoneticPr fontId="1" type="noConversion"/>
  </si>
  <si>
    <t>5.组合板挠度验算：</t>
    <phoneticPr fontId="1" type="noConversion"/>
  </si>
  <si>
    <t>（1）荷载短期效应组合下的截面特征</t>
    <phoneticPr fontId="1" type="noConversion"/>
  </si>
  <si>
    <t>a.将压型钢板换算成混凝土截面后的组合截面特征值，受压区高度为x（mm）：</t>
    <phoneticPr fontId="1" type="noConversion"/>
  </si>
  <si>
    <t>b.压型钢板换算成混凝土截面后，组合板一个波宽的组合截面惯性矩为Ioc（mm4）：</t>
    <phoneticPr fontId="1" type="noConversion"/>
  </si>
  <si>
    <t>（2）荷载长期效应组合下的截面特征</t>
    <phoneticPr fontId="1" type="noConversion"/>
  </si>
  <si>
    <t>a.将压型钢板换算成混凝土截面后的组合截面特征值，受压区高度为x'（mm）：</t>
    <phoneticPr fontId="1" type="noConversion"/>
  </si>
  <si>
    <t>b.压型钢板换算成混凝土截面后，组合板一个波宽的组合截面惯性矩为I'oc（mm4）：</t>
    <phoneticPr fontId="1" type="noConversion"/>
  </si>
  <si>
    <t>（3）挠度</t>
    <phoneticPr fontId="1" type="noConversion"/>
  </si>
  <si>
    <t>将压型钢板截面换算成混凝土截面进行截面特征计算时，组合板的最大挠度δ为（mm）：</t>
    <phoneticPr fontId="1" type="noConversion"/>
  </si>
  <si>
    <t>组合板的容许挠度值[δ]为（mm）：</t>
    <phoneticPr fontId="1" type="noConversion"/>
  </si>
  <si>
    <t>满足要求</t>
    <phoneticPr fontId="1" type="noConversion"/>
  </si>
  <si>
    <t>（三）配筋</t>
    <phoneticPr fontId="1" type="noConversion"/>
  </si>
  <si>
    <t>取板宽200mm作为计算单元，按简直板计算，跨中弯矩设计值为（kN.m）：</t>
    <phoneticPr fontId="1" type="noConversion"/>
  </si>
  <si>
    <t>αs=</t>
    <phoneticPr fontId="1" type="noConversion"/>
  </si>
  <si>
    <t>ξ=</t>
    <phoneticPr fontId="1" type="noConversion"/>
  </si>
  <si>
    <t>&lt;ξb=0.614</t>
    <phoneticPr fontId="1" type="noConversion"/>
  </si>
  <si>
    <t xml:space="preserve">γs= </t>
    <phoneticPr fontId="1" type="noConversion"/>
  </si>
  <si>
    <t>As=</t>
    <phoneticPr fontId="1" type="noConversion"/>
  </si>
  <si>
    <t>即每200mm需配56.4mm2纵筋,波谷配2根φ6</t>
    <phoneticPr fontId="1" type="noConversion"/>
  </si>
  <si>
    <t>横向钢筋φ6@200截面面积（mm2）</t>
    <phoneticPr fontId="1" type="noConversion"/>
  </si>
  <si>
    <t>0.2%混凝土截面面积（mm2）</t>
    <phoneticPr fontId="1" type="noConversion"/>
  </si>
  <si>
    <t>满足</t>
    <phoneticPr fontId="1"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</si>
</sst>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11"/>
      <color rgb="FFFF0000"/>
      <name val="宋体"/>
      <family val="2"/>
      <charset val="134"/>
      <scheme val="minor"/>
    </font>
    <font>
      <b/>
      <sz val="11"/>
      <color theme="1"/>
      <name val="宋体"/>
      <family val="3"/>
      <charset val="134"/>
      <scheme val="minor"/>
    </font>
    <font>
      <b/>
      <sz val="11"/>
      <color rgb="FFFF0000"/>
      <name val="宋体"/>
      <family val="3"/>
      <charset val="134"/>
      <scheme val="minor"/>
    </font>
    <font>
      <sz val="11"/>
      <color theme="1"/>
      <name val="宋体"/>
      <family val="3"/>
      <charset val="134"/>
      <scheme val="minor"/>
    </font>
    <font>
      <sz val="11"/>
      <color rgb="FFFF0000"/>
      <name val="宋体"/>
      <family val="3"/>
      <charset val="134"/>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alignment vertical="center"/>
    </xf>
  </cellStyleXfs>
  <cellXfs count="17">
    <xf numFmtId="0" fontId="0" fillId="0" borderId="0" xfId="0">
      <alignment vertical="center"/>
    </xf>
    <xf numFmtId="0" fontId="3" fillId="2" borderId="0" xfId="0" applyFont="1" applyFill="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11" fontId="0" fillId="0" borderId="0" xfId="0" applyNumberForma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9526</xdr:rowOff>
    </xdr:from>
    <xdr:to>
      <xdr:col>0</xdr:col>
      <xdr:colOff>1990724</xdr:colOff>
      <xdr:row>19</xdr:row>
      <xdr:rowOff>28576</xdr:rowOff>
    </xdr:to>
    <xdr:pic>
      <xdr:nvPicPr>
        <xdr:cNvPr id="2" name="Picture 1"/>
        <xdr:cNvPicPr>
          <a:picLocks noChangeAspect="1" noChangeArrowheads="1"/>
        </xdr:cNvPicPr>
      </xdr:nvPicPr>
      <xdr:blipFill>
        <a:blip xmlns:r="http://schemas.openxmlformats.org/officeDocument/2006/relationships" r:embed="rId1"/>
        <a:srcRect/>
        <a:stretch>
          <a:fillRect/>
        </a:stretch>
      </xdr:blipFill>
      <xdr:spPr bwMode="auto">
        <a:xfrm>
          <a:off x="0" y="1895476"/>
          <a:ext cx="1990724" cy="13906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98"/>
  <sheetViews>
    <sheetView tabSelected="1" workbookViewId="0">
      <selection activeCell="E15" sqref="E15"/>
    </sheetView>
  </sheetViews>
  <sheetFormatPr defaultRowHeight="13.5"/>
  <cols>
    <col min="1" max="1" width="26.25" style="2" customWidth="1"/>
    <col min="2" max="2" width="31.875" style="2" customWidth="1"/>
    <col min="3" max="3" width="23" style="2" customWidth="1"/>
    <col min="4" max="4" width="20" style="2" customWidth="1"/>
    <col min="5" max="5" width="39.25" style="2" customWidth="1"/>
    <col min="6" max="6" width="9.5" style="2" bestFit="1" customWidth="1"/>
    <col min="7" max="7" width="9" style="2"/>
    <col min="8" max="11" width="9" style="2" customWidth="1"/>
    <col min="12" max="16384" width="9" style="2"/>
  </cols>
  <sheetData>
    <row r="1" spans="1:6">
      <c r="A1" s="1" t="s">
        <v>0</v>
      </c>
    </row>
    <row r="2" spans="1:6">
      <c r="A2" s="3" t="s">
        <v>1</v>
      </c>
      <c r="B2" s="2">
        <v>2</v>
      </c>
      <c r="C2" s="3" t="s">
        <v>2</v>
      </c>
      <c r="D2" s="2">
        <v>25</v>
      </c>
      <c r="E2" s="3" t="s">
        <v>3</v>
      </c>
      <c r="F2" s="2">
        <v>0.1</v>
      </c>
    </row>
    <row r="3" spans="1:6">
      <c r="A3" s="3" t="s">
        <v>4</v>
      </c>
      <c r="B3" s="2">
        <v>5</v>
      </c>
      <c r="C3" s="4" t="s">
        <v>5</v>
      </c>
      <c r="D3" s="2">
        <v>1.2</v>
      </c>
      <c r="E3" s="3" t="s">
        <v>6</v>
      </c>
      <c r="F3" s="2">
        <v>14.3</v>
      </c>
    </row>
    <row r="4" spans="1:6">
      <c r="A4" s="3" t="s">
        <v>7</v>
      </c>
      <c r="B4" s="2">
        <v>4</v>
      </c>
      <c r="C4" s="3" t="s">
        <v>8</v>
      </c>
      <c r="D4" s="2">
        <v>0.8</v>
      </c>
      <c r="E4" s="3" t="s">
        <v>9</v>
      </c>
      <c r="F4" s="2">
        <v>50</v>
      </c>
    </row>
    <row r="5" spans="1:6">
      <c r="A5" s="3" t="s">
        <v>10</v>
      </c>
      <c r="B5" s="2">
        <v>1</v>
      </c>
      <c r="C5" s="3" t="s">
        <v>11</v>
      </c>
      <c r="D5" s="2">
        <v>1.4</v>
      </c>
      <c r="E5" s="3" t="s">
        <v>12</v>
      </c>
      <c r="F5" s="5">
        <v>30000</v>
      </c>
    </row>
    <row r="6" spans="1:6">
      <c r="E6" s="3" t="s">
        <v>13</v>
      </c>
      <c r="F6" s="5">
        <f>C9/F5</f>
        <v>6.8666666666666663</v>
      </c>
    </row>
    <row r="7" spans="1:6">
      <c r="A7" s="6" t="s">
        <v>14</v>
      </c>
      <c r="B7" s="3" t="s">
        <v>15</v>
      </c>
      <c r="C7" s="2">
        <v>205</v>
      </c>
    </row>
    <row r="8" spans="1:6">
      <c r="A8" s="6"/>
      <c r="B8" s="3" t="s">
        <v>16</v>
      </c>
      <c r="C8" s="2">
        <v>120</v>
      </c>
    </row>
    <row r="9" spans="1:6">
      <c r="A9" s="6"/>
      <c r="B9" s="3" t="s">
        <v>17</v>
      </c>
      <c r="C9" s="5">
        <v>206000</v>
      </c>
    </row>
    <row r="11" spans="1:6">
      <c r="A11" s="3" t="s">
        <v>18</v>
      </c>
      <c r="B11" s="7"/>
      <c r="C11" s="7" t="s">
        <v>19</v>
      </c>
    </row>
    <row r="12" spans="1:6">
      <c r="B12" s="3" t="s">
        <v>20</v>
      </c>
      <c r="C12" s="2">
        <v>1</v>
      </c>
    </row>
    <row r="13" spans="1:6">
      <c r="B13" s="3" t="s">
        <v>21</v>
      </c>
      <c r="C13" s="2">
        <v>13.6</v>
      </c>
    </row>
    <row r="14" spans="1:6">
      <c r="B14" s="3" t="s">
        <v>22</v>
      </c>
      <c r="C14" s="2">
        <f>C13*9.8/1000/2</f>
        <v>6.6640000000000005E-2</v>
      </c>
    </row>
    <row r="15" spans="1:6">
      <c r="B15" s="3" t="s">
        <v>23</v>
      </c>
      <c r="C15" s="2">
        <v>96</v>
      </c>
    </row>
    <row r="16" spans="1:6">
      <c r="B16" s="3" t="s">
        <v>24</v>
      </c>
      <c r="C16" s="2">
        <v>25.7</v>
      </c>
    </row>
    <row r="17" spans="1:4">
      <c r="B17" s="3" t="s">
        <v>25</v>
      </c>
      <c r="C17" s="2">
        <v>200</v>
      </c>
    </row>
    <row r="18" spans="1:4">
      <c r="B18" s="3" t="s">
        <v>26</v>
      </c>
      <c r="C18" s="2">
        <v>546.29999999999995</v>
      </c>
    </row>
    <row r="19" spans="1:4">
      <c r="B19" s="3" t="s">
        <v>27</v>
      </c>
      <c r="C19" s="2">
        <f>C15*0.2</f>
        <v>19.200000000000003</v>
      </c>
    </row>
    <row r="21" spans="1:4">
      <c r="A21" s="8"/>
    </row>
    <row r="22" spans="1:4">
      <c r="A22" s="1" t="s">
        <v>28</v>
      </c>
    </row>
    <row r="23" spans="1:4">
      <c r="A23" s="9" t="s">
        <v>29</v>
      </c>
    </row>
    <row r="24" spans="1:4">
      <c r="C24" s="2" t="s">
        <v>30</v>
      </c>
      <c r="D24" s="2" t="s">
        <v>31</v>
      </c>
    </row>
    <row r="25" spans="1:4">
      <c r="B25" s="2" t="s">
        <v>32</v>
      </c>
      <c r="C25" s="2">
        <f>B5</f>
        <v>1</v>
      </c>
      <c r="D25" s="2">
        <f>F2*D2</f>
        <v>2.5</v>
      </c>
    </row>
    <row r="26" spans="1:4">
      <c r="B26" s="2" t="s">
        <v>33</v>
      </c>
      <c r="C26" s="2">
        <f>B5*D5</f>
        <v>1.4</v>
      </c>
      <c r="D26" s="2">
        <f>D3*D25</f>
        <v>3</v>
      </c>
    </row>
    <row r="27" spans="1:4">
      <c r="A27" s="9" t="s">
        <v>34</v>
      </c>
    </row>
    <row r="28" spans="1:4">
      <c r="A28" s="10" t="s">
        <v>35</v>
      </c>
      <c r="B28" s="10"/>
      <c r="C28" s="9" t="s">
        <v>36</v>
      </c>
      <c r="D28" s="9" t="s">
        <v>37</v>
      </c>
    </row>
    <row r="29" spans="1:4">
      <c r="C29" s="2">
        <f>0.125*(C26+D26)*B2^2</f>
        <v>2.2000000000000002</v>
      </c>
      <c r="D29" s="2">
        <f>0.5*(C26+D26)*B2</f>
        <v>4.4000000000000004</v>
      </c>
    </row>
    <row r="31" spans="1:4">
      <c r="A31" s="11" t="s">
        <v>38</v>
      </c>
      <c r="B31" s="11"/>
    </row>
    <row r="32" spans="1:4">
      <c r="B32" s="2" t="s">
        <v>39</v>
      </c>
      <c r="C32" s="2">
        <f>C12*50/1000</f>
        <v>0.05</v>
      </c>
    </row>
    <row r="34" spans="1:5">
      <c r="A34" s="9" t="s">
        <v>40</v>
      </c>
    </row>
    <row r="35" spans="1:5">
      <c r="B35" s="10" t="s">
        <v>41</v>
      </c>
      <c r="C35" s="10"/>
    </row>
    <row r="36" spans="1:5">
      <c r="B36" s="2" t="s">
        <v>42</v>
      </c>
      <c r="C36" s="2">
        <f>C16/1000*C7</f>
        <v>5.2685000000000004</v>
      </c>
      <c r="D36" s="2" t="s">
        <v>43</v>
      </c>
      <c r="E36" s="2">
        <f>C29</f>
        <v>2.2000000000000002</v>
      </c>
    </row>
    <row r="38" spans="1:5">
      <c r="A38" s="9" t="s">
        <v>44</v>
      </c>
    </row>
    <row r="39" spans="1:5">
      <c r="B39" s="10" t="s">
        <v>45</v>
      </c>
      <c r="C39" s="10"/>
    </row>
    <row r="40" spans="1:5">
      <c r="B40" s="2" t="s">
        <v>46</v>
      </c>
      <c r="C40" s="5">
        <f>5*(C25+D25)*(B2*1000)^4/384/C9/C15/10000</f>
        <v>3.6871291801510249</v>
      </c>
    </row>
    <row r="41" spans="1:5">
      <c r="B41" s="2" t="s">
        <v>47</v>
      </c>
    </row>
    <row r="42" spans="1:5">
      <c r="B42" s="2" t="s">
        <v>48</v>
      </c>
      <c r="C42" s="2">
        <f>B2*1000/180</f>
        <v>11.111111111111111</v>
      </c>
      <c r="D42" s="2" t="s">
        <v>43</v>
      </c>
      <c r="E42" s="5">
        <f>C40</f>
        <v>3.6871291801510249</v>
      </c>
    </row>
    <row r="44" spans="1:5">
      <c r="A44" s="2" t="s">
        <v>49</v>
      </c>
    </row>
    <row r="45" spans="1:5">
      <c r="B45" s="6" t="s">
        <v>50</v>
      </c>
      <c r="C45" s="6"/>
      <c r="D45" s="6"/>
      <c r="E45" s="6"/>
    </row>
    <row r="47" spans="1:5">
      <c r="A47" s="1" t="s">
        <v>51</v>
      </c>
    </row>
    <row r="48" spans="1:5">
      <c r="A48" s="9" t="s">
        <v>29</v>
      </c>
    </row>
    <row r="49" spans="1:6">
      <c r="C49" s="2" t="s">
        <v>52</v>
      </c>
      <c r="D49" s="2" t="s">
        <v>4</v>
      </c>
    </row>
    <row r="50" spans="1:6">
      <c r="B50" s="2" t="s">
        <v>32</v>
      </c>
      <c r="C50" s="2">
        <f>B4</f>
        <v>4</v>
      </c>
      <c r="D50" s="2">
        <f>B3</f>
        <v>5</v>
      </c>
    </row>
    <row r="51" spans="1:6">
      <c r="B51" s="2" t="s">
        <v>33</v>
      </c>
      <c r="C51" s="2">
        <f>D5*C50</f>
        <v>5.6</v>
      </c>
      <c r="D51" s="2">
        <f>D50*D3</f>
        <v>6</v>
      </c>
    </row>
    <row r="53" spans="1:6">
      <c r="A53" s="9" t="s">
        <v>53</v>
      </c>
    </row>
    <row r="54" spans="1:6">
      <c r="A54" s="10" t="s">
        <v>54</v>
      </c>
      <c r="B54" s="12"/>
      <c r="C54" s="12"/>
      <c r="D54" s="12"/>
    </row>
    <row r="55" spans="1:6">
      <c r="C55" s="2" t="s">
        <v>55</v>
      </c>
      <c r="D55" s="2" t="s">
        <v>56</v>
      </c>
    </row>
    <row r="56" spans="1:6">
      <c r="B56" s="2" t="s">
        <v>32</v>
      </c>
      <c r="C56" s="2">
        <f>0.125*(C50+D50)*B2^2*C17/1000</f>
        <v>0.9</v>
      </c>
      <c r="D56" s="2">
        <f>0.5*(C50+D50)*B2*C17/1000</f>
        <v>1.8</v>
      </c>
    </row>
    <row r="57" spans="1:6">
      <c r="B57" s="2" t="s">
        <v>33</v>
      </c>
      <c r="C57" s="2">
        <f>0.125*(C51+D51)*B2^2*C17/1000</f>
        <v>1.1599999999999999</v>
      </c>
      <c r="D57" s="2">
        <f>0.5*(C51+D51)*B2*C17/1000</f>
        <v>2.3199999999999998</v>
      </c>
    </row>
    <row r="59" spans="1:6">
      <c r="A59" s="9" t="s">
        <v>57</v>
      </c>
      <c r="B59" s="13" t="s">
        <v>58</v>
      </c>
      <c r="C59" s="14"/>
      <c r="D59" s="14"/>
      <c r="E59" s="14"/>
    </row>
    <row r="60" spans="1:6">
      <c r="A60" s="2" t="s">
        <v>59</v>
      </c>
    </row>
    <row r="61" spans="1:6">
      <c r="B61" s="2" t="s">
        <v>60</v>
      </c>
      <c r="C61" s="2">
        <f>C18*C7*D4/1000</f>
        <v>89.593199999999996</v>
      </c>
    </row>
    <row r="62" spans="1:6">
      <c r="B62" s="2" t="s">
        <v>61</v>
      </c>
      <c r="C62" s="2">
        <f>C17*F4*F3*D4/1000</f>
        <v>114.4</v>
      </c>
      <c r="D62" s="6" t="s">
        <v>62</v>
      </c>
      <c r="E62" s="15"/>
      <c r="F62" s="15"/>
    </row>
    <row r="64" spans="1:6">
      <c r="A64" s="2" t="s">
        <v>63</v>
      </c>
    </row>
    <row r="65" spans="1:6">
      <c r="B65" s="2" t="s">
        <v>64</v>
      </c>
    </row>
    <row r="66" spans="1:6">
      <c r="C66" s="2" t="s">
        <v>65</v>
      </c>
      <c r="D66" s="2">
        <f>C7*C18/C17/F3/0.8</f>
        <v>48.947333916083913</v>
      </c>
      <c r="E66" s="2" t="s">
        <v>66</v>
      </c>
      <c r="F66" s="2">
        <f>0.55*F2*1000</f>
        <v>55.000000000000007</v>
      </c>
    </row>
    <row r="67" spans="1:6">
      <c r="B67" s="10" t="s">
        <v>67</v>
      </c>
      <c r="C67" s="12"/>
      <c r="D67" s="12"/>
    </row>
    <row r="68" spans="1:6">
      <c r="C68" s="2" t="s">
        <v>68</v>
      </c>
      <c r="D68" s="2">
        <f>F2*1000-0.5*D66</f>
        <v>75.52633304195804</v>
      </c>
    </row>
    <row r="69" spans="1:6">
      <c r="B69" s="10" t="s">
        <v>69</v>
      </c>
      <c r="C69" s="12"/>
    </row>
    <row r="70" spans="1:6">
      <c r="C70" s="2" t="s">
        <v>70</v>
      </c>
      <c r="D70" s="2">
        <f>0.8*C17*D66*D68*F3/1000000</f>
        <v>8.458307326868443</v>
      </c>
      <c r="E70" s="2" t="s">
        <v>43</v>
      </c>
      <c r="F70" s="2">
        <f>C57</f>
        <v>1.1599999999999999</v>
      </c>
    </row>
    <row r="71" spans="1:6">
      <c r="A71" s="9" t="s">
        <v>71</v>
      </c>
    </row>
    <row r="72" spans="1:6">
      <c r="B72" s="10" t="s">
        <v>72</v>
      </c>
      <c r="C72" s="12"/>
    </row>
    <row r="73" spans="1:6">
      <c r="C73" s="2" t="s">
        <v>73</v>
      </c>
      <c r="D73" s="2">
        <f>0.07*C17*F2*1000*F3/1000</f>
        <v>20.020000000000007</v>
      </c>
      <c r="E73" s="2" t="s">
        <v>43</v>
      </c>
      <c r="F73" s="2">
        <f>D57</f>
        <v>2.3199999999999998</v>
      </c>
    </row>
    <row r="74" spans="1:6">
      <c r="B74" s="6" t="s">
        <v>74</v>
      </c>
      <c r="C74" s="6"/>
      <c r="D74" s="6"/>
      <c r="E74" s="6"/>
    </row>
    <row r="75" spans="1:6">
      <c r="A75" s="9" t="s">
        <v>75</v>
      </c>
    </row>
    <row r="76" spans="1:6">
      <c r="A76" s="10" t="s">
        <v>76</v>
      </c>
      <c r="B76" s="12"/>
    </row>
    <row r="77" spans="1:6">
      <c r="B77" s="10" t="s">
        <v>77</v>
      </c>
      <c r="C77" s="12"/>
      <c r="D77" s="12"/>
      <c r="E77" s="5">
        <f>((F6^2*C18^2+2*F6*C17*C18*F2*1000)^0.5-F6*C18)/C17</f>
        <v>45.298823055771265</v>
      </c>
    </row>
    <row r="78" spans="1:6">
      <c r="B78"/>
    </row>
    <row r="79" spans="1:6">
      <c r="B79" s="10" t="s">
        <v>78</v>
      </c>
      <c r="C79" s="12"/>
      <c r="D79" s="12"/>
      <c r="E79" s="5">
        <f>C17*E77^3/3+F6*C19*10000+F6*C18*(F2*1000-E77)^2</f>
        <v>18739819.315654084</v>
      </c>
    </row>
    <row r="81" spans="1:6">
      <c r="A81" s="10" t="s">
        <v>79</v>
      </c>
      <c r="B81" s="12"/>
    </row>
    <row r="82" spans="1:6">
      <c r="B82" s="10" t="s">
        <v>80</v>
      </c>
      <c r="C82" s="12"/>
      <c r="D82" s="12"/>
      <c r="E82" s="2">
        <f>(((2*F6*C18)^2+2*(2*F6*C17*C18*F2*1000))^0.5-2*F6*C18)/C17</f>
        <v>56.878687515109149</v>
      </c>
    </row>
    <row r="84" spans="1:6">
      <c r="B84" s="10" t="s">
        <v>81</v>
      </c>
      <c r="C84" s="12"/>
      <c r="D84" s="12"/>
      <c r="E84" s="5">
        <f>C17*E82^3/3+2*F6*C19*10000+2*F6*C18*(F2*1000-E82)^2</f>
        <v>28854881.534967847</v>
      </c>
    </row>
    <row r="86" spans="1:6">
      <c r="A86" s="2" t="s">
        <v>82</v>
      </c>
    </row>
    <row r="87" spans="1:6">
      <c r="B87" s="10" t="s">
        <v>83</v>
      </c>
      <c r="C87" s="12"/>
      <c r="D87" s="12"/>
      <c r="E87" s="2">
        <f>(C50*(B2*1000)^4/F5/E79+D50*(B2*1000)^4/F5/E84)*5/384</f>
        <v>2.6856259396479367</v>
      </c>
    </row>
    <row r="88" spans="1:6">
      <c r="B88" s="10" t="s">
        <v>84</v>
      </c>
      <c r="C88" s="12"/>
      <c r="D88" s="12"/>
      <c r="E88" s="2">
        <f>B2*1000/360</f>
        <v>5.5555555555555554</v>
      </c>
      <c r="F88" s="2" t="s">
        <v>85</v>
      </c>
    </row>
    <row r="90" spans="1:6">
      <c r="A90" s="1" t="s">
        <v>86</v>
      </c>
    </row>
    <row r="91" spans="1:6">
      <c r="B91" s="10" t="s">
        <v>87</v>
      </c>
      <c r="C91" s="12"/>
      <c r="D91" s="12"/>
      <c r="E91" s="2">
        <f>C57</f>
        <v>1.1599999999999999</v>
      </c>
    </row>
    <row r="92" spans="1:6">
      <c r="B92" s="2" t="s">
        <v>88</v>
      </c>
      <c r="C92" s="2">
        <f>E91*1000000/1/14.3/C17/100/100</f>
        <v>4.0559440559440559E-2</v>
      </c>
    </row>
    <row r="93" spans="1:6">
      <c r="B93" s="2" t="s">
        <v>89</v>
      </c>
      <c r="C93" s="2">
        <f>1-(1-2*C92)^2</f>
        <v>0.15565748936378299</v>
      </c>
      <c r="D93" s="2" t="s">
        <v>90</v>
      </c>
    </row>
    <row r="94" spans="1:6">
      <c r="B94" s="2" t="s">
        <v>91</v>
      </c>
      <c r="C94" s="2">
        <f>0.5*(1+(1-2*C92)^0.5)</f>
        <v>0.9792914350583366</v>
      </c>
    </row>
    <row r="95" spans="1:6">
      <c r="B95" s="2" t="s">
        <v>92</v>
      </c>
      <c r="C95" s="2">
        <f>E91*1000000/210/C94/100</f>
        <v>56.406186412530708</v>
      </c>
      <c r="D95" s="6" t="s">
        <v>93</v>
      </c>
      <c r="E95" s="15"/>
    </row>
    <row r="97" spans="2:4">
      <c r="B97" s="16" t="s">
        <v>94</v>
      </c>
      <c r="C97" s="2">
        <f>28.26*200/200</f>
        <v>28.26</v>
      </c>
    </row>
    <row r="98" spans="2:4">
      <c r="B98" s="2" t="s">
        <v>95</v>
      </c>
      <c r="C98" s="2">
        <f>0.2%*200*50</f>
        <v>20</v>
      </c>
      <c r="D98" s="2" t="s">
        <v>96</v>
      </c>
    </row>
  </sheetData>
  <mergeCells count="23">
    <mergeCell ref="B84:D84"/>
    <mergeCell ref="B87:D87"/>
    <mergeCell ref="B88:D88"/>
    <mergeCell ref="B91:D91"/>
    <mergeCell ref="D95:E95"/>
    <mergeCell ref="B74:E74"/>
    <mergeCell ref="A76:B76"/>
    <mergeCell ref="B77:D77"/>
    <mergeCell ref="B79:D79"/>
    <mergeCell ref="A81:B81"/>
    <mergeCell ref="B82:D82"/>
    <mergeCell ref="A54:D54"/>
    <mergeCell ref="B59:E59"/>
    <mergeCell ref="D62:F62"/>
    <mergeCell ref="B67:D67"/>
    <mergeCell ref="B69:C69"/>
    <mergeCell ref="B72:C72"/>
    <mergeCell ref="A7:A9"/>
    <mergeCell ref="A28:B28"/>
    <mergeCell ref="A31:B31"/>
    <mergeCell ref="B35:C35"/>
    <mergeCell ref="B39:C39"/>
    <mergeCell ref="B45:E45"/>
  </mergeCells>
  <phoneticPr fontId="1" type="noConversion"/>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2011-01-13T02:09:12Z</dcterms:modified>
</cp:coreProperties>
</file>